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16" windowHeight="11016" activeTab="1"/>
  </bookViews>
  <sheets>
    <sheet name="附件1" sheetId="3" r:id="rId1"/>
    <sheet name="附件1-1" sheetId="2" r:id="rId2"/>
  </sheets>
  <definedNames>
    <definedName name="_xlnm.Print_Titles" localSheetId="1">'附件1-1'!$1:$7</definedName>
  </definedNames>
  <calcPr calcId="144525"/>
</workbook>
</file>

<file path=xl/calcChain.xml><?xml version="1.0" encoding="utf-8"?>
<calcChain xmlns="http://schemas.openxmlformats.org/spreadsheetml/2006/main">
  <c r="W13" i="2" l="1"/>
  <c r="V13" i="2"/>
  <c r="T13" i="2"/>
  <c r="S13" i="2"/>
  <c r="Q13" i="2"/>
  <c r="P13" i="2"/>
  <c r="N13" i="2"/>
  <c r="M13" i="2"/>
  <c r="K13" i="2"/>
  <c r="J13" i="2"/>
  <c r="H13" i="2"/>
  <c r="G13" i="2"/>
  <c r="E13" i="2"/>
  <c r="D13" i="2"/>
  <c r="B13" i="2"/>
  <c r="W12" i="2"/>
  <c r="S12" i="2"/>
  <c r="R12" i="2"/>
  <c r="P12" i="2"/>
  <c r="O12" i="2"/>
  <c r="M12" i="2"/>
  <c r="L12" i="2"/>
  <c r="J12" i="2"/>
  <c r="I12" i="2"/>
  <c r="H12" i="2"/>
  <c r="G12" i="2"/>
  <c r="F12" i="2"/>
  <c r="D12" i="2"/>
  <c r="C12" i="2"/>
  <c r="W11" i="2"/>
  <c r="S11" i="2"/>
  <c r="R11" i="2"/>
  <c r="P11" i="2"/>
  <c r="O11" i="2"/>
  <c r="M11" i="2"/>
  <c r="L11" i="2"/>
  <c r="J11" i="2"/>
  <c r="I11" i="2"/>
  <c r="H11" i="2"/>
  <c r="G11" i="2"/>
  <c r="F11" i="2"/>
  <c r="D11" i="2"/>
  <c r="C11" i="2"/>
  <c r="B11" i="2"/>
  <c r="W10" i="2"/>
  <c r="R10" i="2"/>
  <c r="P10" i="2"/>
  <c r="O10" i="2"/>
  <c r="M10" i="2"/>
  <c r="L10" i="2"/>
  <c r="J10" i="2"/>
  <c r="I10" i="2"/>
  <c r="H10" i="2"/>
  <c r="G10" i="2"/>
  <c r="F10" i="2"/>
  <c r="D10" i="2"/>
  <c r="C10" i="2"/>
  <c r="B10" i="2"/>
  <c r="W9" i="2"/>
  <c r="V9" i="2"/>
  <c r="U9" i="2"/>
  <c r="S9" i="2"/>
  <c r="R9" i="2"/>
  <c r="P9" i="2"/>
  <c r="O9" i="2"/>
  <c r="M9" i="2"/>
  <c r="L9" i="2"/>
  <c r="J9" i="2"/>
  <c r="I9" i="2"/>
  <c r="H9" i="2"/>
  <c r="G9" i="2"/>
  <c r="F9" i="2"/>
  <c r="D9" i="2"/>
  <c r="C9" i="2"/>
  <c r="W8" i="2"/>
  <c r="V8" i="2"/>
  <c r="U8" i="2"/>
  <c r="S8" i="2"/>
  <c r="R8" i="2"/>
  <c r="P8" i="2"/>
  <c r="O8" i="2"/>
  <c r="M8" i="2"/>
  <c r="L8" i="2"/>
  <c r="J8" i="2"/>
  <c r="I8" i="2"/>
  <c r="H8" i="2"/>
  <c r="G8" i="2"/>
  <c r="F8" i="2"/>
  <c r="D8" i="2"/>
  <c r="C8" i="2"/>
  <c r="B9" i="3"/>
  <c r="B8" i="3"/>
  <c r="B7" i="3"/>
  <c r="B6" i="3"/>
  <c r="B5" i="3"/>
  <c r="B10" i="3" s="1"/>
</calcChain>
</file>

<file path=xl/sharedStrings.xml><?xml version="1.0" encoding="utf-8"?>
<sst xmlns="http://schemas.openxmlformats.org/spreadsheetml/2006/main" count="60" uniqueCount="38">
  <si>
    <t>附件1</t>
  </si>
  <si>
    <t>单位：万元</t>
  </si>
  <si>
    <t>区 县</t>
  </si>
  <si>
    <t>分配金额</t>
  </si>
  <si>
    <r>
      <rPr>
        <sz val="12"/>
        <rFont val="宋体"/>
        <family val="3"/>
        <charset val="134"/>
      </rPr>
      <t>船山区</t>
    </r>
  </si>
  <si>
    <t>安居区</t>
  </si>
  <si>
    <r>
      <rPr>
        <sz val="12"/>
        <rFont val="宋体"/>
        <family val="3"/>
        <charset val="134"/>
      </rPr>
      <t>遂宁经开区</t>
    </r>
  </si>
  <si>
    <t>市河东新区</t>
  </si>
  <si>
    <t>遂宁高新区</t>
  </si>
  <si>
    <r>
      <rPr>
        <sz val="12"/>
        <rFont val="宋体"/>
        <family val="3"/>
        <charset val="134"/>
      </rPr>
      <t>合 计</t>
    </r>
  </si>
  <si>
    <t>附件1-1</t>
  </si>
  <si>
    <t>2022年市级财政困难群众救助补助资金（第三批）分配测算标准及过程表</t>
  </si>
  <si>
    <t>全年应分配</t>
  </si>
  <si>
    <t>最低生活保障</t>
  </si>
  <si>
    <t>临时救助（支出占比5.1%）</t>
  </si>
  <si>
    <t>特困供养</t>
  </si>
  <si>
    <t>孤儿基本生活保障
（支出占比1.66%）</t>
  </si>
  <si>
    <t>流浪乞讨人员救助管理
（支出占比0.78%）</t>
  </si>
  <si>
    <t>金额合计（万元）</t>
  </si>
  <si>
    <t>城市（支出占比17.32%）</t>
  </si>
  <si>
    <t>农村（支出占比50.83%）</t>
  </si>
  <si>
    <t>城市（支出占比1.46%）</t>
  </si>
  <si>
    <t>农村（支出占比22.85%）</t>
  </si>
  <si>
    <t>人数（人）</t>
  </si>
  <si>
    <t>标准（万元/人）</t>
  </si>
  <si>
    <t>金额（万元）</t>
  </si>
  <si>
    <t>船山区</t>
  </si>
  <si>
    <t>遂宁经开区</t>
  </si>
  <si>
    <t>合计</t>
  </si>
  <si>
    <t>分配说明：</t>
  </si>
  <si>
    <t>一、分配办法：采用因素法分配，按照各地困难群众人数、2021年度救助资金支出结构（城乡低保、临时救助、特困供养、孤儿、流浪乞讨人员救助实际支出金额占比）进行分配。</t>
  </si>
  <si>
    <t>二、基础数据：因安居区、遂宁高新区区划调整，聚贤乡、会龙镇困难群众救助资金2022年1-4月由遂宁高新区发放，5-12月由安居区发放。分配资金以2021年12月人数为基数，对两区2022年1-4月、5-12月人数进行了分段计算。</t>
  </si>
  <si>
    <r>
      <rPr>
        <sz val="11"/>
        <color rgb="FF000000"/>
        <rFont val="宋体"/>
        <family val="3"/>
        <charset val="134"/>
      </rPr>
      <t xml:space="preserve">    1.低保人数：全省天府救助通智慧救助平台统计的2021年12月领取最低生活保障金人数</t>
    </r>
    <r>
      <rPr>
        <sz val="11"/>
        <color rgb="FFFF0000"/>
        <rFont val="宋体"/>
        <family val="3"/>
        <charset val="134"/>
      </rPr>
      <t>。</t>
    </r>
  </si>
  <si>
    <r>
      <rPr>
        <sz val="11"/>
        <color rgb="FF000000"/>
        <rFont val="宋体"/>
        <family val="3"/>
        <charset val="134"/>
      </rPr>
      <t xml:space="preserve">    2.特困供养人数：市民政局统计的2021年12月领取特困供养基本生活补助人数</t>
    </r>
    <r>
      <rPr>
        <sz val="11"/>
        <color rgb="FFFF0000"/>
        <rFont val="宋体"/>
        <family val="3"/>
        <charset val="134"/>
      </rPr>
      <t>。</t>
    </r>
  </si>
  <si>
    <t xml:space="preserve">    3.孤儿人数：2021年12月市民政局统计数据。</t>
  </si>
  <si>
    <t xml:space="preserve">    4.救助人数：2021年末全国流浪乞讨人员信息管理系统统计数据。</t>
  </si>
  <si>
    <t>2022年市级财政困难群众救助补助资金
（第三批）分配表</t>
    <phoneticPr fontId="12" type="noConversion"/>
  </si>
  <si>
    <t>备注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</si>
</sst>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6"/>
      <color rgb="FF000000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20"/>
      <name val="方正小标宋简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176" fontId="4" fillId="0" borderId="0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176" fontId="4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:G4"/>
    </sheetView>
  </sheetViews>
  <sheetFormatPr defaultColWidth="9" defaultRowHeight="14.4"/>
  <cols>
    <col min="1" max="1" width="36.44140625" customWidth="1"/>
    <col min="2" max="3" width="34.33203125" customWidth="1"/>
  </cols>
  <sheetData>
    <row r="1" spans="1:3" ht="37.200000000000003" customHeight="1">
      <c r="A1" s="13" t="s">
        <v>0</v>
      </c>
      <c r="B1" s="13"/>
    </row>
    <row r="2" spans="1:3" ht="63" customHeight="1">
      <c r="A2" s="24" t="s">
        <v>36</v>
      </c>
      <c r="B2" s="24"/>
      <c r="C2" s="24"/>
    </row>
    <row r="3" spans="1:3" s="11" customFormat="1" ht="31.8" customHeight="1">
      <c r="A3" s="14"/>
      <c r="C3" s="25" t="s">
        <v>1</v>
      </c>
    </row>
    <row r="4" spans="1:3" s="12" customFormat="1" ht="38.25" customHeight="1">
      <c r="A4" s="15" t="s">
        <v>2</v>
      </c>
      <c r="B4" s="16" t="s">
        <v>3</v>
      </c>
      <c r="C4" s="33" t="s">
        <v>37</v>
      </c>
    </row>
    <row r="5" spans="1:3" s="12" customFormat="1" ht="38.25" customHeight="1">
      <c r="A5" s="17" t="s">
        <v>4</v>
      </c>
      <c r="B5" s="17">
        <f>'附件1-1'!W8</f>
        <v>30.35</v>
      </c>
      <c r="C5" s="32"/>
    </row>
    <row r="6" spans="1:3" s="12" customFormat="1" ht="38.25" customHeight="1">
      <c r="A6" s="17" t="s">
        <v>5</v>
      </c>
      <c r="B6" s="17">
        <f>'附件1-1'!W9</f>
        <v>51.84</v>
      </c>
      <c r="C6" s="32"/>
    </row>
    <row r="7" spans="1:3" s="12" customFormat="1" ht="38.25" customHeight="1">
      <c r="A7" s="17" t="s">
        <v>6</v>
      </c>
      <c r="B7" s="17">
        <f>'附件1-1'!W10</f>
        <v>7.65</v>
      </c>
      <c r="C7" s="32"/>
    </row>
    <row r="8" spans="1:3" s="12" customFormat="1" ht="38.25" customHeight="1">
      <c r="A8" s="17" t="s">
        <v>7</v>
      </c>
      <c r="B8" s="17">
        <f>'附件1-1'!W11</f>
        <v>3.18</v>
      </c>
      <c r="C8" s="32"/>
    </row>
    <row r="9" spans="1:3" s="12" customFormat="1" ht="38.25" customHeight="1">
      <c r="A9" s="17" t="s">
        <v>8</v>
      </c>
      <c r="B9" s="17">
        <f>'附件1-1'!W12</f>
        <v>2.98</v>
      </c>
      <c r="C9" s="32"/>
    </row>
    <row r="10" spans="1:3" s="12" customFormat="1" ht="38.25" customHeight="1">
      <c r="A10" s="17" t="s">
        <v>9</v>
      </c>
      <c r="B10" s="17">
        <f>SUM(B5:B9)</f>
        <v>96.000000000000014</v>
      </c>
      <c r="C10" s="32"/>
    </row>
  </sheetData>
  <mergeCells count="1">
    <mergeCell ref="A2:C2"/>
  </mergeCells>
  <phoneticPr fontId="12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topLeftCell="A13" zoomScale="85" zoomScaleNormal="85" workbookViewId="0">
      <selection activeCell="A12" sqref="A12"/>
    </sheetView>
  </sheetViews>
  <sheetFormatPr defaultColWidth="9" defaultRowHeight="14.4"/>
  <cols>
    <col min="1" max="1" width="11.77734375" customWidth="1"/>
    <col min="2" max="2" width="7.109375" customWidth="1"/>
    <col min="3" max="19" width="8.77734375" customWidth="1"/>
    <col min="20" max="20" width="8.77734375" style="3" customWidth="1"/>
    <col min="21" max="23" width="8.77734375" customWidth="1"/>
  </cols>
  <sheetData>
    <row r="1" spans="1:23" ht="27" customHeight="1">
      <c r="A1" s="18" t="s">
        <v>10</v>
      </c>
      <c r="B1" s="18"/>
      <c r="C1" s="4"/>
      <c r="D1" s="4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3" ht="35.4" customHeight="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s="1" customFormat="1" ht="31.5" customHeight="1">
      <c r="A3" s="21" t="s">
        <v>2</v>
      </c>
      <c r="B3" s="20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2" customFormat="1" ht="24.75" customHeight="1">
      <c r="A4" s="21"/>
      <c r="B4" s="21" t="s">
        <v>13</v>
      </c>
      <c r="C4" s="21"/>
      <c r="D4" s="21"/>
      <c r="E4" s="21"/>
      <c r="F4" s="21"/>
      <c r="G4" s="21"/>
      <c r="H4" s="21" t="s">
        <v>14</v>
      </c>
      <c r="I4" s="21"/>
      <c r="J4" s="21"/>
      <c r="K4" s="21" t="s">
        <v>15</v>
      </c>
      <c r="L4" s="21"/>
      <c r="M4" s="21"/>
      <c r="N4" s="21"/>
      <c r="O4" s="21"/>
      <c r="P4" s="21"/>
      <c r="Q4" s="21" t="s">
        <v>16</v>
      </c>
      <c r="R4" s="21"/>
      <c r="S4" s="21"/>
      <c r="T4" s="21" t="s">
        <v>17</v>
      </c>
      <c r="U4" s="21"/>
      <c r="V4" s="21"/>
      <c r="W4" s="21" t="s">
        <v>18</v>
      </c>
    </row>
    <row r="5" spans="1:23" s="2" customFormat="1">
      <c r="A5" s="21"/>
      <c r="B5" s="21" t="s">
        <v>19</v>
      </c>
      <c r="C5" s="21"/>
      <c r="D5" s="21"/>
      <c r="E5" s="21" t="s">
        <v>20</v>
      </c>
      <c r="F5" s="21"/>
      <c r="G5" s="21"/>
      <c r="H5" s="21"/>
      <c r="I5" s="21"/>
      <c r="J5" s="21"/>
      <c r="K5" s="21" t="s">
        <v>21</v>
      </c>
      <c r="L5" s="21"/>
      <c r="M5" s="21"/>
      <c r="N5" s="21" t="s">
        <v>22</v>
      </c>
      <c r="O5" s="21"/>
      <c r="P5" s="21"/>
      <c r="Q5" s="21"/>
      <c r="R5" s="21"/>
      <c r="S5" s="21"/>
      <c r="T5" s="21"/>
      <c r="U5" s="21"/>
      <c r="V5" s="21"/>
      <c r="W5" s="21"/>
    </row>
    <row r="6" spans="1:23" s="2" customForma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s="1" customFormat="1" ht="48" customHeight="1">
      <c r="A7" s="21"/>
      <c r="B7" s="5" t="s">
        <v>23</v>
      </c>
      <c r="C7" s="5" t="s">
        <v>24</v>
      </c>
      <c r="D7" s="5" t="s">
        <v>25</v>
      </c>
      <c r="E7" s="5" t="s">
        <v>23</v>
      </c>
      <c r="F7" s="5" t="s">
        <v>24</v>
      </c>
      <c r="G7" s="5" t="s">
        <v>25</v>
      </c>
      <c r="H7" s="5" t="s">
        <v>23</v>
      </c>
      <c r="I7" s="5" t="s">
        <v>24</v>
      </c>
      <c r="J7" s="5" t="s">
        <v>25</v>
      </c>
      <c r="K7" s="5" t="s">
        <v>23</v>
      </c>
      <c r="L7" s="5" t="s">
        <v>24</v>
      </c>
      <c r="M7" s="5" t="s">
        <v>25</v>
      </c>
      <c r="N7" s="5" t="s">
        <v>23</v>
      </c>
      <c r="O7" s="5" t="s">
        <v>24</v>
      </c>
      <c r="P7" s="5" t="s">
        <v>25</v>
      </c>
      <c r="Q7" s="5" t="s">
        <v>23</v>
      </c>
      <c r="R7" s="5" t="s">
        <v>24</v>
      </c>
      <c r="S7" s="5" t="s">
        <v>25</v>
      </c>
      <c r="T7" s="5" t="s">
        <v>23</v>
      </c>
      <c r="U7" s="5" t="s">
        <v>24</v>
      </c>
      <c r="V7" s="5" t="s">
        <v>25</v>
      </c>
      <c r="W7" s="21"/>
    </row>
    <row r="8" spans="1:23" s="31" customFormat="1" ht="50.25" customHeight="1">
      <c r="A8" s="26" t="s">
        <v>26</v>
      </c>
      <c r="B8" s="27">
        <v>6252</v>
      </c>
      <c r="C8" s="27">
        <f>ROUND(16/$B$13,4)</f>
        <v>1.5E-3</v>
      </c>
      <c r="D8" s="27">
        <f>ROUND(B8*C8,2)-0.22</f>
        <v>9.16</v>
      </c>
      <c r="E8" s="27">
        <v>13267</v>
      </c>
      <c r="F8" s="28">
        <f>ROUND(49/$E$13,4)</f>
        <v>1E-3</v>
      </c>
      <c r="G8" s="28">
        <f>ROUND(E8*F8,2)+0.36</f>
        <v>13.63</v>
      </c>
      <c r="H8" s="28">
        <f>B8+E8</f>
        <v>19519</v>
      </c>
      <c r="I8" s="28">
        <f>ROUND(5/$H$13,4)</f>
        <v>1E-4</v>
      </c>
      <c r="J8" s="28">
        <f>ROUND(H8*I8,2)-0.3</f>
        <v>1.65</v>
      </c>
      <c r="K8" s="28">
        <v>165</v>
      </c>
      <c r="L8" s="28">
        <f>ROUND(1/$K$13,4)</f>
        <v>3.3E-3</v>
      </c>
      <c r="M8" s="28">
        <f>ROUND(K8*L8,2)</f>
        <v>0.54</v>
      </c>
      <c r="N8" s="28">
        <v>1624</v>
      </c>
      <c r="O8" s="28">
        <f>ROUND(22/$N$13,4)</f>
        <v>3.2000000000000002E-3</v>
      </c>
      <c r="P8" s="28">
        <f>ROUND(N8*O8,2)-0.19</f>
        <v>5.01</v>
      </c>
      <c r="Q8" s="29">
        <v>25</v>
      </c>
      <c r="R8" s="28">
        <f>ROUND(2/$Q$13,4)</f>
        <v>1.1299999999999999E-2</v>
      </c>
      <c r="S8" s="28">
        <f>ROUND(Q8*R8,2)</f>
        <v>0.28000000000000003</v>
      </c>
      <c r="T8" s="30">
        <v>51</v>
      </c>
      <c r="U8" s="28">
        <f>ROUND(1/$T$13,4)</f>
        <v>1.6000000000000001E-3</v>
      </c>
      <c r="V8" s="28">
        <f>ROUND(T8*U8,2)</f>
        <v>0.08</v>
      </c>
      <c r="W8" s="26">
        <f>D8+G8+M8+P8+J8+S8+V8</f>
        <v>30.35</v>
      </c>
    </row>
    <row r="9" spans="1:23" s="31" customFormat="1" ht="50.25" customHeight="1">
      <c r="A9" s="26" t="s">
        <v>5</v>
      </c>
      <c r="B9" s="28">
        <v>1443</v>
      </c>
      <c r="C9" s="27">
        <f t="shared" ref="C9:C12" si="0">ROUND(16/$B$13,4)</f>
        <v>1.5E-3</v>
      </c>
      <c r="D9" s="27">
        <f t="shared" ref="D9:D12" si="1">ROUND(B9*C9,2)</f>
        <v>2.16</v>
      </c>
      <c r="E9" s="28">
        <v>29492</v>
      </c>
      <c r="F9" s="28">
        <f>ROUND(49/$E$13,4)</f>
        <v>1E-3</v>
      </c>
      <c r="G9" s="28">
        <f>ROUND(E9*F9,2)+0.1</f>
        <v>29.59</v>
      </c>
      <c r="H9" s="28">
        <f>B9+E9</f>
        <v>30935</v>
      </c>
      <c r="I9" s="28">
        <f>ROUND(5/$H$13,4)</f>
        <v>1E-4</v>
      </c>
      <c r="J9" s="28">
        <f>ROUND(H9*I9,2)-0.2</f>
        <v>2.89</v>
      </c>
      <c r="K9" s="28">
        <v>52</v>
      </c>
      <c r="L9" s="28">
        <f>ROUND(1/$K$13,4)</f>
        <v>3.3E-3</v>
      </c>
      <c r="M9" s="28">
        <f t="shared" ref="M9:M12" si="2">ROUND(K9*L9,2)</f>
        <v>0.17</v>
      </c>
      <c r="N9" s="28">
        <v>4613</v>
      </c>
      <c r="O9" s="28">
        <f>ROUND(22/$N$13,4)</f>
        <v>3.2000000000000002E-3</v>
      </c>
      <c r="P9" s="28">
        <f>ROUND(N9*O9,2)-0.1</f>
        <v>14.66</v>
      </c>
      <c r="Q9" s="29">
        <v>128</v>
      </c>
      <c r="R9" s="28">
        <f>ROUND(2/$Q$13,4)</f>
        <v>1.1299999999999999E-2</v>
      </c>
      <c r="S9" s="28">
        <f>ROUND(Q9*R9,2)</f>
        <v>1.45</v>
      </c>
      <c r="T9" s="30">
        <v>593</v>
      </c>
      <c r="U9" s="28">
        <f>ROUND(1/$T$13,4)</f>
        <v>1.6000000000000001E-3</v>
      </c>
      <c r="V9" s="28">
        <f>ROUND(T9*U9,2)-0.03</f>
        <v>0.92</v>
      </c>
      <c r="W9" s="26">
        <f t="shared" ref="W9:W12" si="3">D9+G9+M9+P9+J9+S9+V9</f>
        <v>51.84</v>
      </c>
    </row>
    <row r="10" spans="1:23" s="31" customFormat="1" ht="50.25" customHeight="1">
      <c r="A10" s="26" t="s">
        <v>27</v>
      </c>
      <c r="B10" s="28">
        <f>25944/12</f>
        <v>2162</v>
      </c>
      <c r="C10" s="27">
        <f t="shared" si="0"/>
        <v>1.5E-3</v>
      </c>
      <c r="D10" s="27">
        <f t="shared" si="1"/>
        <v>3.24</v>
      </c>
      <c r="E10" s="28">
        <v>2619</v>
      </c>
      <c r="F10" s="28">
        <f>ROUND(49/$E$13,4)</f>
        <v>1E-3</v>
      </c>
      <c r="G10" s="28">
        <f>ROUND(E10*F10,2)+0.1</f>
        <v>2.72</v>
      </c>
      <c r="H10" s="28">
        <f>B10+E10</f>
        <v>4781</v>
      </c>
      <c r="I10" s="28">
        <f>ROUND(5/$H$13,4)</f>
        <v>1E-4</v>
      </c>
      <c r="J10" s="28">
        <f t="shared" ref="J10" si="4">ROUND(H10*I10,2)-0.2</f>
        <v>0.28000000000000003</v>
      </c>
      <c r="K10" s="28">
        <v>80</v>
      </c>
      <c r="L10" s="28">
        <f>ROUND(1/$K$13,4)</f>
        <v>3.3E-3</v>
      </c>
      <c r="M10" s="28">
        <f t="shared" si="2"/>
        <v>0.26</v>
      </c>
      <c r="N10" s="28">
        <v>320</v>
      </c>
      <c r="O10" s="28">
        <f>ROUND(22/$N$13,4)</f>
        <v>3.2000000000000002E-3</v>
      </c>
      <c r="P10" s="28">
        <f t="shared" ref="P10:P12" si="5">ROUND(N10*O10,2)</f>
        <v>1.02</v>
      </c>
      <c r="Q10" s="29">
        <v>12</v>
      </c>
      <c r="R10" s="28">
        <f>ROUND(2/$Q$13,4)</f>
        <v>1.1299999999999999E-2</v>
      </c>
      <c r="S10" s="28">
        <v>0.13</v>
      </c>
      <c r="T10" s="30"/>
      <c r="U10" s="28"/>
      <c r="V10" s="28"/>
      <c r="W10" s="26">
        <f t="shared" si="3"/>
        <v>7.65</v>
      </c>
    </row>
    <row r="11" spans="1:23" s="31" customFormat="1" ht="50.25" customHeight="1">
      <c r="A11" s="26" t="s">
        <v>7</v>
      </c>
      <c r="B11" s="28">
        <f>8688/12</f>
        <v>724</v>
      </c>
      <c r="C11" s="27">
        <f t="shared" si="0"/>
        <v>1.5E-3</v>
      </c>
      <c r="D11" s="27">
        <f t="shared" si="1"/>
        <v>1.0900000000000001</v>
      </c>
      <c r="E11" s="28">
        <v>1249</v>
      </c>
      <c r="F11" s="28">
        <f>ROUND(49/$E$13,4)</f>
        <v>1E-3</v>
      </c>
      <c r="G11" s="28">
        <f>ROUND(E11*F11,2)+0.1</f>
        <v>1.35</v>
      </c>
      <c r="H11" s="28">
        <f>B11+E11</f>
        <v>1973</v>
      </c>
      <c r="I11" s="28">
        <f>ROUND(5/$H$13,4)</f>
        <v>1E-4</v>
      </c>
      <c r="J11" s="28">
        <f>ROUND(H11*I11,2)-0.1</f>
        <v>0.1</v>
      </c>
      <c r="K11" s="28">
        <v>10</v>
      </c>
      <c r="L11" s="28">
        <f>ROUND(1/$K$13,4)</f>
        <v>3.3E-3</v>
      </c>
      <c r="M11" s="28">
        <f t="shared" si="2"/>
        <v>0.03</v>
      </c>
      <c r="N11" s="28">
        <v>166</v>
      </c>
      <c r="O11" s="28">
        <f>ROUND(22/$N$13,4)</f>
        <v>3.2000000000000002E-3</v>
      </c>
      <c r="P11" s="28">
        <f t="shared" si="5"/>
        <v>0.53</v>
      </c>
      <c r="Q11" s="29">
        <v>7</v>
      </c>
      <c r="R11" s="28">
        <f>ROUND(2/$Q$13,4)</f>
        <v>1.1299999999999999E-2</v>
      </c>
      <c r="S11" s="28">
        <f>ROUND(Q11*R11,2)</f>
        <v>0.08</v>
      </c>
      <c r="T11" s="30"/>
      <c r="U11" s="28"/>
      <c r="V11" s="28"/>
      <c r="W11" s="26">
        <f t="shared" si="3"/>
        <v>3.18</v>
      </c>
    </row>
    <row r="12" spans="1:23" s="31" customFormat="1" ht="50.25" customHeight="1">
      <c r="A12" s="26" t="s">
        <v>8</v>
      </c>
      <c r="B12" s="28">
        <v>233</v>
      </c>
      <c r="C12" s="27">
        <f t="shared" si="0"/>
        <v>1.5E-3</v>
      </c>
      <c r="D12" s="27">
        <f t="shared" si="1"/>
        <v>0.35</v>
      </c>
      <c r="E12" s="28">
        <v>1605</v>
      </c>
      <c r="F12" s="28">
        <f>ROUND(49/$E$13,4)</f>
        <v>1E-3</v>
      </c>
      <c r="G12" s="28">
        <f>ROUND(E12*F12,2)+0.1</f>
        <v>1.71</v>
      </c>
      <c r="H12" s="28">
        <f>B12+E12</f>
        <v>1838</v>
      </c>
      <c r="I12" s="28">
        <f>ROUND(5/$H$13,4)</f>
        <v>1E-4</v>
      </c>
      <c r="J12" s="28">
        <f>ROUND(H12*I12,2)-0.1</f>
        <v>0.08</v>
      </c>
      <c r="K12" s="28">
        <v>0</v>
      </c>
      <c r="L12" s="28">
        <f>ROUND(1/$K$13,4)</f>
        <v>3.3E-3</v>
      </c>
      <c r="M12" s="28">
        <f t="shared" si="2"/>
        <v>0</v>
      </c>
      <c r="N12" s="28">
        <v>244</v>
      </c>
      <c r="O12" s="28">
        <f>ROUND(22/$N$13,4)</f>
        <v>3.2000000000000002E-3</v>
      </c>
      <c r="P12" s="28">
        <f t="shared" si="5"/>
        <v>0.78</v>
      </c>
      <c r="Q12" s="29">
        <v>5</v>
      </c>
      <c r="R12" s="28">
        <f>ROUND(2/$Q$13,4)</f>
        <v>1.1299999999999999E-2</v>
      </c>
      <c r="S12" s="28">
        <f>ROUND(Q12*R12,2)</f>
        <v>0.06</v>
      </c>
      <c r="T12" s="30"/>
      <c r="U12" s="28"/>
      <c r="V12" s="28"/>
      <c r="W12" s="26">
        <f t="shared" si="3"/>
        <v>2.98</v>
      </c>
    </row>
    <row r="13" spans="1:23" s="31" customFormat="1" ht="50.25" customHeight="1">
      <c r="A13" s="28" t="s">
        <v>28</v>
      </c>
      <c r="B13" s="28">
        <f>SUM(B8:B12)</f>
        <v>10814</v>
      </c>
      <c r="C13" s="28"/>
      <c r="D13" s="28">
        <f t="shared" ref="D13:W13" si="6">SUM(D8:D12)</f>
        <v>16</v>
      </c>
      <c r="E13" s="28">
        <f t="shared" si="6"/>
        <v>48232</v>
      </c>
      <c r="F13" s="28"/>
      <c r="G13" s="28">
        <f t="shared" si="6"/>
        <v>49</v>
      </c>
      <c r="H13" s="28">
        <f t="shared" si="6"/>
        <v>59046</v>
      </c>
      <c r="I13" s="28"/>
      <c r="J13" s="28">
        <f t="shared" si="6"/>
        <v>5</v>
      </c>
      <c r="K13" s="28">
        <f t="shared" si="6"/>
        <v>307</v>
      </c>
      <c r="L13" s="28"/>
      <c r="M13" s="28">
        <f t="shared" si="6"/>
        <v>1</v>
      </c>
      <c r="N13" s="28">
        <f t="shared" si="6"/>
        <v>6967</v>
      </c>
      <c r="O13" s="28"/>
      <c r="P13" s="28">
        <f t="shared" si="6"/>
        <v>22</v>
      </c>
      <c r="Q13" s="28">
        <f t="shared" si="6"/>
        <v>177</v>
      </c>
      <c r="R13" s="28"/>
      <c r="S13" s="28">
        <f t="shared" si="6"/>
        <v>2</v>
      </c>
      <c r="T13" s="28">
        <f t="shared" si="6"/>
        <v>644</v>
      </c>
      <c r="U13" s="28"/>
      <c r="V13" s="28">
        <f t="shared" si="6"/>
        <v>1</v>
      </c>
      <c r="W13" s="28">
        <f t="shared" si="6"/>
        <v>96</v>
      </c>
    </row>
    <row r="14" spans="1:23" s="1" customFormat="1" ht="29.25" customHeight="1">
      <c r="A14" s="22" t="s">
        <v>29</v>
      </c>
      <c r="B14" s="22"/>
      <c r="C14" s="7"/>
      <c r="D14" s="7"/>
      <c r="E14" s="6"/>
      <c r="F14" s="6"/>
      <c r="G14" s="9"/>
      <c r="H14" s="6"/>
      <c r="I14" s="9"/>
      <c r="J14" s="9"/>
      <c r="K14" s="6"/>
      <c r="L14" s="7"/>
      <c r="M14" s="7"/>
      <c r="N14" s="6"/>
      <c r="O14" s="9"/>
      <c r="P14" s="9"/>
      <c r="Q14" s="10"/>
      <c r="R14" s="9"/>
      <c r="S14" s="9"/>
      <c r="T14" s="10"/>
      <c r="U14" s="9"/>
      <c r="V14" s="9"/>
      <c r="W14" s="10"/>
    </row>
    <row r="15" spans="1:23" s="1" customFormat="1" ht="29.25" customHeight="1">
      <c r="A15" s="23" t="s">
        <v>30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s="1" customFormat="1" ht="30.6" customHeight="1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" customFormat="1" ht="29.25" customHeight="1">
      <c r="A17" s="23" t="s">
        <v>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s="1" customFormat="1" ht="29.25" customHeight="1">
      <c r="A18" s="23" t="s">
        <v>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1" customFormat="1" ht="29.25" customHeight="1">
      <c r="A19" s="23" t="s">
        <v>34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s="1" customFormat="1" ht="29.25" customHeight="1">
      <c r="A20" s="23" t="s">
        <v>35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</sheetData>
  <mergeCells count="21">
    <mergeCell ref="A19:W19"/>
    <mergeCell ref="A20:W20"/>
    <mergeCell ref="A3:A7"/>
    <mergeCell ref="W4:W7"/>
    <mergeCell ref="B5:D6"/>
    <mergeCell ref="E5:G6"/>
    <mergeCell ref="K5:M6"/>
    <mergeCell ref="N5:P6"/>
    <mergeCell ref="H4:J6"/>
    <mergeCell ref="Q4:S6"/>
    <mergeCell ref="T4:V6"/>
    <mergeCell ref="A14:B14"/>
    <mergeCell ref="A15:W15"/>
    <mergeCell ref="A16:W16"/>
    <mergeCell ref="A17:W17"/>
    <mergeCell ref="A18:W18"/>
    <mergeCell ref="A1:B1"/>
    <mergeCell ref="A2:W2"/>
    <mergeCell ref="B3:W3"/>
    <mergeCell ref="B4:G4"/>
    <mergeCell ref="K4:P4"/>
  </mergeCells>
  <phoneticPr fontId="12" type="noConversion"/>
  <printOptions horizontalCentered="1"/>
  <pageMargins left="0.47244094488188981" right="0.47244094488188981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附件1-1</vt:lpstr>
      <vt:lpstr>'附件1-1'!Print_Titles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吉海燕</cp:lastModifiedBy>
  <cp:lastPrinted>2022-11-28T06:46:42Z</cp:lastPrinted>
  <dcterms:created xsi:type="dcterms:W3CDTF">2015-06-06T02:19:00Z</dcterms:created>
  <dcterms:modified xsi:type="dcterms:W3CDTF">2022-11-28T06:46:49Z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E81F7A1FDE594C41A5934CCFD9CA6A26</vt:lpwstr>
  </property>
  <property fmtid="{D5CDD505-2E9C-101B-9397-08002B2CF9AE}" pid="3" name="KSOProductBuildVer">
    <vt:lpwstr>2052-11.8.2.10505</vt:lpwstr>
  </property>
</Properties>
</file>